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20" windowWidth="11940" windowHeight="504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X48" i="1"/>
  <c r="X33"/>
  <c r="X32"/>
  <c r="X31"/>
  <c r="X43"/>
  <c r="X44"/>
  <c r="X45"/>
  <c r="X46"/>
  <c r="X41"/>
  <c r="X42"/>
  <c r="X38"/>
  <c r="X39"/>
  <c r="X40"/>
  <c r="X36"/>
  <c r="X37"/>
  <c r="X35"/>
  <c r="X34"/>
  <c r="X25"/>
  <c r="X20"/>
  <c r="X21"/>
  <c r="X22"/>
  <c r="X23"/>
  <c r="X24"/>
  <c r="X26"/>
  <c r="X27"/>
  <c r="X28"/>
  <c r="X19"/>
  <c r="X18"/>
  <c r="X17"/>
  <c r="Y33"/>
  <c r="Y19"/>
  <c r="N34" l="1"/>
  <c r="X30"/>
  <c r="X15"/>
  <c r="Z34"/>
  <c r="Z32"/>
  <c r="R34"/>
  <c r="I48"/>
  <c r="U48"/>
  <c r="L48"/>
  <c r="K48"/>
  <c r="H48"/>
  <c r="Z18"/>
  <c r="Y18"/>
  <c r="H18"/>
  <c r="Z17"/>
  <c r="Y17"/>
  <c r="Y15"/>
  <c r="Z15" s="1"/>
  <c r="H17"/>
  <c r="AB27" l="1"/>
  <c r="AB19"/>
  <c r="AB20"/>
  <c r="AB21"/>
  <c r="AB22"/>
  <c r="AB23"/>
  <c r="AB24"/>
  <c r="AB25"/>
  <c r="AB26"/>
  <c r="AB28"/>
  <c r="AB30"/>
  <c r="AB31"/>
  <c r="AB33"/>
  <c r="AB36"/>
  <c r="AB37"/>
  <c r="AB38"/>
  <c r="AB39"/>
  <c r="AB40"/>
  <c r="AB41"/>
  <c r="AB42"/>
  <c r="AB43"/>
  <c r="AB44"/>
  <c r="AB45"/>
  <c r="AB46"/>
  <c r="Z48" l="1"/>
  <c r="Y48"/>
  <c r="Y46"/>
  <c r="Y45"/>
  <c r="Y44"/>
  <c r="Y43"/>
  <c r="Y42"/>
  <c r="Y41"/>
  <c r="Y40"/>
  <c r="Y39"/>
  <c r="Y38"/>
  <c r="Y37"/>
  <c r="Z30"/>
  <c r="Y30"/>
  <c r="Z58"/>
  <c r="Z60" s="1"/>
  <c r="W49"/>
  <c r="W47"/>
  <c r="R48"/>
  <c r="R49" s="1"/>
  <c r="M48"/>
  <c r="N48" l="1"/>
  <c r="AA48" s="1"/>
  <c r="AB48" s="1"/>
  <c r="U36"/>
  <c r="U35"/>
  <c r="U34"/>
  <c r="U33"/>
  <c r="U32"/>
  <c r="U31"/>
  <c r="U30"/>
  <c r="U21"/>
  <c r="U19"/>
  <c r="U18"/>
  <c r="U17"/>
  <c r="U15"/>
  <c r="N33"/>
  <c r="N32"/>
  <c r="N31"/>
  <c r="N30"/>
  <c r="N18"/>
  <c r="N17"/>
  <c r="N15"/>
  <c r="H47"/>
  <c r="AA16"/>
  <c r="AB16"/>
  <c r="I17"/>
  <c r="I18"/>
  <c r="I19"/>
  <c r="I20"/>
  <c r="I21"/>
  <c r="AA21" s="1"/>
  <c r="I22"/>
  <c r="I23"/>
  <c r="I24"/>
  <c r="I25"/>
  <c r="I26"/>
  <c r="I27"/>
  <c r="I28"/>
  <c r="I30"/>
  <c r="I31"/>
  <c r="AA31" s="1"/>
  <c r="I32"/>
  <c r="I33"/>
  <c r="AA33" s="1"/>
  <c r="I34"/>
  <c r="AA34" s="1"/>
  <c r="AB34" s="1"/>
  <c r="I35"/>
  <c r="I36"/>
  <c r="AA36" s="1"/>
  <c r="I37"/>
  <c r="I38"/>
  <c r="I39"/>
  <c r="I40"/>
  <c r="I41"/>
  <c r="I42"/>
  <c r="I43"/>
  <c r="I44"/>
  <c r="I45"/>
  <c r="I46"/>
  <c r="V15"/>
  <c r="AA15" s="1"/>
  <c r="Z47"/>
  <c r="Z49" s="1"/>
  <c r="Y47"/>
  <c r="AA18" l="1"/>
  <c r="AB18" s="1"/>
  <c r="X47"/>
  <c r="X49" s="1"/>
  <c r="AB15"/>
  <c r="Y49"/>
  <c r="AA32"/>
  <c r="AB32" s="1"/>
  <c r="V30"/>
  <c r="R30"/>
  <c r="R47" s="1"/>
  <c r="I47"/>
  <c r="I49" s="1"/>
  <c r="V17"/>
  <c r="AA17" s="1"/>
  <c r="AB17" s="1"/>
  <c r="AA30"/>
  <c r="V58" l="1"/>
  <c r="V47"/>
  <c r="V49" s="1"/>
  <c r="J40" l="1"/>
  <c r="AA40" s="1"/>
  <c r="J46" l="1"/>
  <c r="AA46" s="1"/>
  <c r="J44"/>
  <c r="AA44" s="1"/>
  <c r="J43"/>
  <c r="J42"/>
  <c r="AA42" s="1"/>
  <c r="J41"/>
  <c r="AA41" s="1"/>
  <c r="J39"/>
  <c r="AA39" s="1"/>
  <c r="J38"/>
  <c r="AA38" s="1"/>
  <c r="J37"/>
  <c r="AA37" s="1"/>
  <c r="J28"/>
  <c r="J27"/>
  <c r="J25"/>
  <c r="AA25" s="1"/>
  <c r="J45"/>
  <c r="J26"/>
  <c r="J24"/>
  <c r="AA24" s="1"/>
  <c r="J23"/>
  <c r="AA23" s="1"/>
  <c r="J22"/>
  <c r="J20"/>
  <c r="J47" l="1"/>
  <c r="J49" s="1"/>
  <c r="AA20"/>
  <c r="Q27"/>
  <c r="AA27" s="1"/>
  <c r="T45"/>
  <c r="AA45" s="1"/>
  <c r="T28"/>
  <c r="AA28" s="1"/>
  <c r="T26"/>
  <c r="AA26" s="1"/>
  <c r="S35" l="1"/>
  <c r="AA35" s="1"/>
  <c r="Q43"/>
  <c r="AA43" s="1"/>
  <c r="P22"/>
  <c r="AA22" s="1"/>
  <c r="O19"/>
  <c r="AA19" s="1"/>
  <c r="AB35" l="1"/>
  <c r="AA58" s="1"/>
  <c r="AB58" s="1"/>
  <c r="AA47"/>
  <c r="AB47" s="1"/>
  <c r="M49"/>
  <c r="L49"/>
  <c r="K49"/>
  <c r="U47"/>
  <c r="U49" s="1"/>
  <c r="T47"/>
  <c r="T49" s="1"/>
  <c r="S47"/>
  <c r="S49" s="1"/>
  <c r="Q47"/>
  <c r="Q49" s="1"/>
  <c r="P47"/>
  <c r="P49" s="1"/>
  <c r="O47"/>
  <c r="O49" s="1"/>
  <c r="H49"/>
  <c r="G47"/>
  <c r="G49" s="1"/>
  <c r="N47" l="1"/>
  <c r="N49" l="1"/>
  <c r="AA49" l="1"/>
  <c r="AB49" s="1"/>
  <c r="V60" l="1"/>
  <c r="AA60" l="1"/>
  <c r="AC60" s="1"/>
  <c r="AB60" l="1"/>
</calcChain>
</file>

<file path=xl/sharedStrings.xml><?xml version="1.0" encoding="utf-8"?>
<sst xmlns="http://schemas.openxmlformats.org/spreadsheetml/2006/main" count="93" uniqueCount="79">
  <si>
    <t>ТИПОВИЙ ШТАТНИЙ РОЗПИС</t>
  </si>
  <si>
    <t>ЗАТВЕРДЖЕНО</t>
  </si>
  <si>
    <t>Наказ Міністерства фінансів України 28.01.2002 № 57</t>
  </si>
  <si>
    <t>(у редакції наказу Міністерства фінансів України від 26.11.2012№ 1220)</t>
  </si>
  <si>
    <t>ЗАТВЕРДЖУЮ</t>
  </si>
  <si>
    <t>штат у кількос 51,228 штатних одиниць</t>
  </si>
  <si>
    <t>На 2018 рік</t>
  </si>
  <si>
    <t>(посада)</t>
  </si>
  <si>
    <t>(підпис)</t>
  </si>
  <si>
    <t>(число,місяць,рік)</t>
  </si>
  <si>
    <t>№ З/П</t>
  </si>
  <si>
    <t>Назва структурного підрозділу та посад</t>
  </si>
  <si>
    <t>кількість штатних посад</t>
  </si>
  <si>
    <t>Посадовий
оклад
(грн.)</t>
  </si>
  <si>
    <t>НМО 102 зошити</t>
  </si>
  <si>
    <t>НМО 102 кл.керівн</t>
  </si>
  <si>
    <t>НМО 102 зав каб, майст,комп</t>
  </si>
  <si>
    <t>ПКМУ 373 надб 20%</t>
  </si>
  <si>
    <t>ПКМУ 1073 особл умови 50%</t>
  </si>
  <si>
    <t>ПКМУ 1298 класність 25%</t>
  </si>
  <si>
    <t>ПКМУ 1298 туалет 10%</t>
  </si>
  <si>
    <t>НМОЗ 519 підвищ 10%</t>
  </si>
  <si>
    <t>ПКМУ 1298 нічні 40%</t>
  </si>
  <si>
    <t>ПКМУ 78/84/1418 вислуга 30%</t>
  </si>
  <si>
    <t xml:space="preserve">Фонд
заробітної
плати на
місяць (грн.)
</t>
  </si>
  <si>
    <t xml:space="preserve">Фонд
заробітної
плати на
2018 рік (грн.)
</t>
  </si>
  <si>
    <t>Директор</t>
  </si>
  <si>
    <t>Шкільний підрозділ</t>
  </si>
  <si>
    <t>Заступник директора з навчальної, навчально-виховної роботи</t>
  </si>
  <si>
    <t>Практичний психолог</t>
  </si>
  <si>
    <t>Бібліотекар</t>
  </si>
  <si>
    <t>Завідувач господарства</t>
  </si>
  <si>
    <t>Сестра медична з дієтичного харчування</t>
  </si>
  <si>
    <t>Водій</t>
  </si>
  <si>
    <t>Робітник з комплексного обслуговування й ремонту будівель</t>
  </si>
  <si>
    <t xml:space="preserve">Кухар </t>
  </si>
  <si>
    <t>Підсобний робітник</t>
  </si>
  <si>
    <t>Сторож</t>
  </si>
  <si>
    <t>Прибиральник службових приміщень</t>
  </si>
  <si>
    <t>Машиніст (кочегар) котельні (на опалювальний сезон)</t>
  </si>
  <si>
    <t>Дошкільний підрозділі</t>
  </si>
  <si>
    <t>Заступник директора з навчально-виховної роботи</t>
  </si>
  <si>
    <t>Музичний керівник</t>
  </si>
  <si>
    <t>РАЗОМ</t>
  </si>
  <si>
    <t>Інструктор з фізкультури</t>
  </si>
  <si>
    <t>Вихователь</t>
  </si>
  <si>
    <t>Сестра медична старша</t>
  </si>
  <si>
    <t>Помічник вихователя для дітей віком від 3 років</t>
  </si>
  <si>
    <t>Кухар</t>
  </si>
  <si>
    <t>Кастелянка</t>
  </si>
  <si>
    <t>Машиніст із прання та ремонту спецодягу (білизни)</t>
  </si>
  <si>
    <t>Двірник</t>
  </si>
  <si>
    <t>Вчитель</t>
  </si>
  <si>
    <t>доплата до мінімуму</t>
  </si>
  <si>
    <t>Щорічна грошова винагорода</t>
  </si>
  <si>
    <t>Оскільська сільська рада                      Студенокський НВК</t>
  </si>
  <si>
    <t>Матеріальна допомога на оздоровлення</t>
  </si>
  <si>
    <t>за складність і напруженість 50%</t>
  </si>
  <si>
    <t>оклад на штатну одиницю</t>
  </si>
  <si>
    <t>Керівник</t>
  </si>
  <si>
    <t>____________</t>
  </si>
  <si>
    <t>підпис</t>
  </si>
  <si>
    <t>Начальник відділу фінансів</t>
  </si>
  <si>
    <t>І.О.Каранда</t>
  </si>
  <si>
    <t>К.А.Ігнатова</t>
  </si>
  <si>
    <t>Надбавки (грн.), Доплати (грн.)</t>
  </si>
  <si>
    <t>пед</t>
  </si>
  <si>
    <t>тех</t>
  </si>
  <si>
    <t>днз</t>
  </si>
  <si>
    <t>всього</t>
  </si>
  <si>
    <t xml:space="preserve">доплата за педогогічне звання </t>
  </si>
  <si>
    <t>Індексація</t>
  </si>
  <si>
    <t xml:space="preserve">Студенок </t>
  </si>
  <si>
    <t>премія</t>
  </si>
  <si>
    <t xml:space="preserve">індексация </t>
  </si>
  <si>
    <t>30.01.2018 р.</t>
  </si>
  <si>
    <t>Загоруйко Г.М.</t>
  </si>
  <si>
    <t xml:space="preserve">Сільський голова                       </t>
  </si>
  <si>
    <t xml:space="preserve">премія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</si>
</sst>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9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13" fillId="0" borderId="0" xfId="0" applyFont="1" applyBorder="1" applyAlignment="1">
      <alignment horizontal="center"/>
    </xf>
    <xf numFmtId="0" fontId="0" fillId="0" borderId="2" xfId="0" applyBorder="1"/>
    <xf numFmtId="0" fontId="13" fillId="0" borderId="0" xfId="0" applyFont="1"/>
    <xf numFmtId="0" fontId="14" fillId="0" borderId="2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0" fillId="0" borderId="0" xfId="0" applyNumberFormat="1"/>
    <xf numFmtId="0" fontId="13" fillId="0" borderId="0" xfId="0" applyFont="1" applyBorder="1" applyAlignment="1"/>
    <xf numFmtId="0" fontId="15" fillId="0" borderId="0" xfId="0" applyFont="1"/>
    <xf numFmtId="0" fontId="19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20" fillId="0" borderId="0" xfId="0" applyFont="1"/>
    <xf numFmtId="0" fontId="13" fillId="0" borderId="2" xfId="0" applyFont="1" applyBorder="1" applyAlignment="1"/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3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9;&#1074;&#1110;&#1090;&#1072;%20&#1092;&#1110;&#1085;.%20&#1074;&#1110;&#1076;&#1076;&#1110;&#1083;/&#1096;&#1090;&#1072;&#1090;&#1085;&#1080;&#1081;%20&#1090;&#1080;&#1087;&#1086;&#1074;&#1080;&#1081;%20&#1088;&#1086;&#1079;&#1087;&#1080;&#1089;/&#1090;&#1080;&#1087;&#1086;&#1074;&#1080;&#1081;%20&#1096;&#1090;&#1072;&#1090;&#1085;&#1080;&#1081;%20&#1088;&#1086;&#1089;&#1087;&#1080;&#1089;%20&#1054;&#1089;&#1082;&#1086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9;&#1074;&#1110;&#1090;&#1072;%20&#1092;&#1110;&#1085;.%20&#1074;&#1110;&#1076;&#1076;&#1110;&#1083;/&#1096;&#1090;&#1072;&#1090;&#1085;&#1080;&#1081;%20&#1090;&#1080;&#1087;&#1086;&#1074;&#1080;&#1081;%20&#1088;&#1086;&#1079;&#1087;&#1080;&#1089;/&#1090;&#1080;&#1087;&#1086;&#1074;&#1080;&#1081;%20&#1096;&#1090;&#1072;&#1090;&#1085;&#1080;&#1081;%20&#1088;&#1086;&#1089;&#1087;&#1080;&#1089;%20&#1050;&#1072;&#1087;&#1080;&#1090;&#1086;&#1083;&#1110;&#1074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6">
          <cell r="V66">
            <v>2962150</v>
          </cell>
          <cell r="Z66">
            <v>616456.00242105254</v>
          </cell>
          <cell r="AB66">
            <v>1122640.004</v>
          </cell>
          <cell r="AD66">
            <v>4701246.0064210529</v>
          </cell>
        </row>
        <row r="67">
          <cell r="V67">
            <v>1193523</v>
          </cell>
          <cell r="Z67">
            <v>295375</v>
          </cell>
          <cell r="AD67">
            <v>1488898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8">
          <cell r="W58">
            <v>2997744.9993999996</v>
          </cell>
          <cell r="AA58">
            <v>563343.00399999996</v>
          </cell>
          <cell r="AB58">
            <v>1286225.0012500004</v>
          </cell>
          <cell r="AC58">
            <v>4847313.0046500005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topLeftCell="A22" zoomScale="75" zoomScaleNormal="75" workbookViewId="0">
      <selection activeCell="AF35" sqref="AF35"/>
    </sheetView>
  </sheetViews>
  <sheetFormatPr defaultRowHeight="15"/>
  <cols>
    <col min="1" max="1" width="8" customWidth="1"/>
    <col min="2" max="2" width="11" customWidth="1"/>
    <col min="4" max="4" width="10.85546875" customWidth="1"/>
    <col min="5" max="5" width="9.7109375" customWidth="1"/>
    <col min="6" max="6" width="10.85546875" customWidth="1"/>
    <col min="7" max="7" width="9.85546875" bestFit="1" customWidth="1"/>
    <col min="8" max="8" width="10.42578125" bestFit="1" customWidth="1"/>
    <col min="9" max="9" width="12" customWidth="1"/>
    <col min="10" max="10" width="10.28515625" customWidth="1"/>
    <col min="11" max="13" width="9.28515625" bestFit="1" customWidth="1"/>
    <col min="14" max="14" width="10.42578125" bestFit="1" customWidth="1"/>
    <col min="15" max="17" width="9.28515625" bestFit="1" customWidth="1"/>
    <col min="18" max="18" width="9.28515625" customWidth="1"/>
    <col min="19" max="20" width="9.28515625" bestFit="1" customWidth="1"/>
    <col min="21" max="21" width="12.140625" bestFit="1" customWidth="1"/>
    <col min="22" max="24" width="13.28515625" customWidth="1"/>
    <col min="25" max="26" width="12.5703125" customWidth="1"/>
    <col min="27" max="27" width="15" customWidth="1"/>
    <col min="28" max="28" width="13.28515625" customWidth="1"/>
    <col min="29" max="29" width="18.28515625" customWidth="1"/>
    <col min="33" max="33" width="12.140625" customWidth="1"/>
  </cols>
  <sheetData>
    <row r="1" spans="1:2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8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8" ht="31.5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1"/>
      <c r="P3" s="68" t="s">
        <v>1</v>
      </c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8" ht="26.25">
      <c r="A4" s="72" t="s">
        <v>0</v>
      </c>
      <c r="B4" s="72"/>
      <c r="C4" s="72"/>
      <c r="D4" s="72"/>
      <c r="E4" s="72"/>
      <c r="F4" s="72"/>
      <c r="G4" s="72"/>
      <c r="H4" s="1"/>
      <c r="I4" s="1"/>
      <c r="J4" s="1"/>
      <c r="K4" s="1"/>
      <c r="L4" s="1"/>
      <c r="P4" t="s">
        <v>2</v>
      </c>
    </row>
    <row r="5" spans="1:28" ht="18.75">
      <c r="A5" s="1"/>
      <c r="B5" s="1"/>
      <c r="C5" s="1"/>
      <c r="D5" s="23" t="s">
        <v>6</v>
      </c>
      <c r="E5" s="23"/>
      <c r="F5" s="23"/>
      <c r="G5" s="1"/>
      <c r="H5" s="1"/>
      <c r="I5" s="1"/>
      <c r="J5" s="1"/>
      <c r="K5" s="1"/>
      <c r="L5" s="1"/>
      <c r="P5" t="s">
        <v>3</v>
      </c>
    </row>
    <row r="6" spans="1:28" ht="40.15" customHeight="1">
      <c r="A6" s="3"/>
      <c r="B6" s="4"/>
      <c r="C6" s="5"/>
      <c r="D6" s="4"/>
      <c r="E6" s="4"/>
      <c r="F6" s="6"/>
      <c r="G6" s="1"/>
      <c r="H6" s="1"/>
      <c r="I6" s="1"/>
      <c r="J6" s="1"/>
      <c r="K6" s="1"/>
      <c r="L6" s="1"/>
      <c r="P6" s="70" t="s">
        <v>4</v>
      </c>
      <c r="Q6" s="70"/>
      <c r="R6" s="70"/>
      <c r="S6" s="70"/>
      <c r="T6" s="70"/>
    </row>
    <row r="7" spans="1:28" ht="21" customHeight="1">
      <c r="A7" s="71" t="s">
        <v>55</v>
      </c>
      <c r="B7" s="71"/>
      <c r="C7" s="71"/>
      <c r="D7" s="71"/>
      <c r="E7" s="71"/>
      <c r="F7" s="71"/>
      <c r="G7" s="71"/>
      <c r="H7" s="7"/>
      <c r="I7" s="13"/>
      <c r="J7" s="21"/>
      <c r="K7" s="7"/>
      <c r="L7" s="7"/>
      <c r="P7" s="69" t="s">
        <v>5</v>
      </c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</row>
    <row r="8" spans="1:28" ht="24" customHeight="1">
      <c r="A8" s="8"/>
      <c r="B8" s="8"/>
      <c r="C8" s="8"/>
      <c r="D8" s="8"/>
      <c r="E8" s="8"/>
      <c r="F8" s="8"/>
      <c r="G8" s="8"/>
      <c r="H8" s="1"/>
      <c r="I8" s="1"/>
      <c r="J8" s="1"/>
      <c r="K8" s="1"/>
      <c r="L8" s="1"/>
      <c r="P8" s="9" t="s">
        <v>77</v>
      </c>
    </row>
    <row r="9" spans="1:28" ht="29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P9" s="8"/>
      <c r="Q9" s="8"/>
      <c r="R9" s="10" t="s">
        <v>7</v>
      </c>
      <c r="S9" s="29" t="s">
        <v>76</v>
      </c>
      <c r="T9" s="8"/>
      <c r="U9" s="8"/>
      <c r="V9" s="8"/>
      <c r="W9" s="8"/>
      <c r="X9" s="8"/>
      <c r="Y9" s="8"/>
      <c r="Z9" s="8"/>
      <c r="AA9" s="8"/>
    </row>
    <row r="10" spans="1:28" ht="28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P10" s="8" t="s">
        <v>75</v>
      </c>
      <c r="Q10" s="8"/>
      <c r="R10" s="10" t="s">
        <v>8</v>
      </c>
      <c r="S10" s="10"/>
      <c r="T10" s="8"/>
      <c r="U10" s="8"/>
      <c r="V10" s="8"/>
      <c r="W10" s="8"/>
      <c r="X10" s="8"/>
      <c r="Y10" s="8"/>
      <c r="Z10" s="8"/>
      <c r="AA10" s="8"/>
    </row>
    <row r="11" spans="1:28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P11" s="10" t="s">
        <v>9</v>
      </c>
      <c r="Q11" s="8"/>
      <c r="R11" s="1"/>
    </row>
    <row r="12" spans="1:28" ht="21" customHeight="1">
      <c r="A12" s="51" t="s">
        <v>10</v>
      </c>
      <c r="B12" s="54" t="s">
        <v>11</v>
      </c>
      <c r="C12" s="55"/>
      <c r="D12" s="55"/>
      <c r="E12" s="55"/>
      <c r="F12" s="56"/>
      <c r="G12" s="44" t="s">
        <v>12</v>
      </c>
      <c r="H12" s="44" t="s">
        <v>13</v>
      </c>
      <c r="I12" s="43" t="s">
        <v>58</v>
      </c>
      <c r="J12" s="45" t="s">
        <v>65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9" t="s">
        <v>74</v>
      </c>
      <c r="X12" s="50" t="s">
        <v>78</v>
      </c>
      <c r="Y12" s="43" t="s">
        <v>56</v>
      </c>
      <c r="Z12" s="44" t="s">
        <v>54</v>
      </c>
      <c r="AA12" s="40" t="s">
        <v>24</v>
      </c>
      <c r="AB12" s="40" t="s">
        <v>25</v>
      </c>
    </row>
    <row r="13" spans="1:28" ht="20.45" customHeight="1">
      <c r="A13" s="52"/>
      <c r="B13" s="57"/>
      <c r="C13" s="58"/>
      <c r="D13" s="58"/>
      <c r="E13" s="58"/>
      <c r="F13" s="59"/>
      <c r="G13" s="38"/>
      <c r="H13" s="63"/>
      <c r="I13" s="38"/>
      <c r="J13" s="66" t="s">
        <v>53</v>
      </c>
      <c r="K13" s="38" t="s">
        <v>14</v>
      </c>
      <c r="L13" s="38" t="s">
        <v>15</v>
      </c>
      <c r="M13" s="38" t="s">
        <v>16</v>
      </c>
      <c r="N13" s="38" t="s">
        <v>17</v>
      </c>
      <c r="O13" s="38" t="s">
        <v>18</v>
      </c>
      <c r="P13" s="38" t="s">
        <v>19</v>
      </c>
      <c r="Q13" s="38" t="s">
        <v>20</v>
      </c>
      <c r="R13" s="49" t="s">
        <v>70</v>
      </c>
      <c r="S13" s="38" t="s">
        <v>21</v>
      </c>
      <c r="T13" s="38" t="s">
        <v>22</v>
      </c>
      <c r="U13" s="38" t="s">
        <v>23</v>
      </c>
      <c r="V13" s="47" t="s">
        <v>57</v>
      </c>
      <c r="W13" s="38"/>
      <c r="X13" s="38"/>
      <c r="Y13" s="38"/>
      <c r="Z13" s="38"/>
      <c r="AA13" s="41"/>
      <c r="AB13" s="41"/>
    </row>
    <row r="14" spans="1:28" ht="84" customHeight="1">
      <c r="A14" s="53"/>
      <c r="B14" s="60"/>
      <c r="C14" s="61"/>
      <c r="D14" s="61"/>
      <c r="E14" s="61"/>
      <c r="F14" s="62"/>
      <c r="G14" s="39"/>
      <c r="H14" s="64"/>
      <c r="I14" s="39"/>
      <c r="J14" s="67"/>
      <c r="K14" s="65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8"/>
      <c r="W14" s="39"/>
      <c r="X14" s="39"/>
      <c r="Y14" s="39"/>
      <c r="Z14" s="39"/>
      <c r="AA14" s="42"/>
      <c r="AB14" s="42"/>
    </row>
    <row r="15" spans="1:28" ht="15" customHeight="1">
      <c r="A15" s="11">
        <v>1</v>
      </c>
      <c r="B15" s="30" t="s">
        <v>26</v>
      </c>
      <c r="C15" s="31"/>
      <c r="D15" s="31"/>
      <c r="E15" s="31"/>
      <c r="F15" s="32"/>
      <c r="G15" s="16">
        <v>1</v>
      </c>
      <c r="H15" s="17">
        <v>5000.6000000000004</v>
      </c>
      <c r="I15" s="17">
        <v>5000.6000000000004</v>
      </c>
      <c r="J15" s="19"/>
      <c r="K15" s="19"/>
      <c r="L15" s="19"/>
      <c r="M15" s="19"/>
      <c r="N15" s="17">
        <f>H15/100*20</f>
        <v>1000.12</v>
      </c>
      <c r="O15" s="19"/>
      <c r="P15" s="19"/>
      <c r="Q15" s="19"/>
      <c r="R15" s="17"/>
      <c r="S15" s="19"/>
      <c r="T15" s="19"/>
      <c r="U15" s="17">
        <f>(H15*G15)/100*30</f>
        <v>1500.18</v>
      </c>
      <c r="V15" s="17">
        <f>I15*50%</f>
        <v>2500.3000000000002</v>
      </c>
      <c r="W15" s="17"/>
      <c r="X15" s="17">
        <f>I15*2</f>
        <v>10001.200000000001</v>
      </c>
      <c r="Y15" s="17">
        <f>I15</f>
        <v>5000.6000000000004</v>
      </c>
      <c r="Z15" s="17">
        <f>Y15</f>
        <v>5000.6000000000004</v>
      </c>
      <c r="AA15" s="14">
        <f>SUM(I15:V15)</f>
        <v>10001.200000000001</v>
      </c>
      <c r="AB15" s="14">
        <f>AA15*12+(Y15+Z15+X15)</f>
        <v>140016.80000000002</v>
      </c>
    </row>
    <row r="16" spans="1:28" ht="15" customHeight="1">
      <c r="A16" s="11"/>
      <c r="B16" s="33" t="s">
        <v>27</v>
      </c>
      <c r="C16" s="34"/>
      <c r="D16" s="34"/>
      <c r="E16" s="34"/>
      <c r="F16" s="35"/>
      <c r="G16" s="16"/>
      <c r="H16" s="19"/>
      <c r="I16" s="17"/>
      <c r="J16" s="19"/>
      <c r="K16" s="19"/>
      <c r="L16" s="19"/>
      <c r="M16" s="19"/>
      <c r="N16" s="19"/>
      <c r="O16" s="19"/>
      <c r="P16" s="19"/>
      <c r="Q16" s="19"/>
      <c r="R16" s="17"/>
      <c r="S16" s="19"/>
      <c r="T16" s="19"/>
      <c r="U16" s="19"/>
      <c r="V16" s="19"/>
      <c r="W16" s="19"/>
      <c r="X16" s="19"/>
      <c r="Y16" s="19"/>
      <c r="Z16" s="19"/>
      <c r="AA16" s="14">
        <f t="shared" ref="AA16:AA46" si="0">SUM(I16:V16)</f>
        <v>0</v>
      </c>
      <c r="AB16" s="14">
        <f t="shared" ref="AB16" si="1">AA16*12+(Y16+Z16)</f>
        <v>0</v>
      </c>
    </row>
    <row r="17" spans="1:29" ht="16.5" customHeight="1">
      <c r="A17" s="11">
        <v>2</v>
      </c>
      <c r="B17" s="30" t="s">
        <v>28</v>
      </c>
      <c r="C17" s="31"/>
      <c r="D17" s="31"/>
      <c r="E17" s="31"/>
      <c r="F17" s="32"/>
      <c r="G17" s="16">
        <v>1.5</v>
      </c>
      <c r="H17" s="17">
        <f>4091+409</f>
        <v>4500</v>
      </c>
      <c r="I17" s="17">
        <f t="shared" ref="I17:I46" si="2">G17*H17</f>
        <v>6750</v>
      </c>
      <c r="J17" s="19"/>
      <c r="K17" s="19"/>
      <c r="L17" s="19"/>
      <c r="M17" s="19"/>
      <c r="N17" s="17">
        <f>(H17*G17)/100*20</f>
        <v>1350</v>
      </c>
      <c r="O17" s="19"/>
      <c r="P17" s="19"/>
      <c r="Q17" s="19"/>
      <c r="R17" s="17"/>
      <c r="S17" s="19"/>
      <c r="T17" s="19"/>
      <c r="U17" s="17">
        <f>(H17*G17)/100*30</f>
        <v>2025</v>
      </c>
      <c r="V17" s="17">
        <f>I17*50%</f>
        <v>3375</v>
      </c>
      <c r="W17" s="17"/>
      <c r="X17" s="17">
        <f>I17*2</f>
        <v>13500</v>
      </c>
      <c r="Y17" s="17">
        <f>I17</f>
        <v>6750</v>
      </c>
      <c r="Z17" s="17">
        <f>Y17</f>
        <v>6750</v>
      </c>
      <c r="AA17" s="14">
        <f t="shared" si="0"/>
        <v>13500</v>
      </c>
      <c r="AB17" s="14">
        <f>AA17*12+(Y17+Z17+X17)</f>
        <v>189000</v>
      </c>
    </row>
    <row r="18" spans="1:29" ht="14.25" customHeight="1">
      <c r="A18" s="11">
        <v>3</v>
      </c>
      <c r="B18" s="30" t="s">
        <v>29</v>
      </c>
      <c r="C18" s="31"/>
      <c r="D18" s="31"/>
      <c r="E18" s="31"/>
      <c r="F18" s="32"/>
      <c r="G18" s="16">
        <v>0.5</v>
      </c>
      <c r="H18" s="14">
        <f>(4264/100*10)+4264</f>
        <v>4690.3999999999996</v>
      </c>
      <c r="I18" s="17">
        <f t="shared" si="2"/>
        <v>2345.1999999999998</v>
      </c>
      <c r="J18" s="19"/>
      <c r="K18" s="19"/>
      <c r="L18" s="19"/>
      <c r="M18" s="19"/>
      <c r="N18" s="17">
        <f>(H18/100*20)/2</f>
        <v>469.03999999999996</v>
      </c>
      <c r="O18" s="19"/>
      <c r="P18" s="19"/>
      <c r="Q18" s="19"/>
      <c r="R18" s="17"/>
      <c r="S18" s="19"/>
      <c r="T18" s="19"/>
      <c r="U18" s="17">
        <f>(H18*G18)/100*30</f>
        <v>703.56</v>
      </c>
      <c r="V18" s="17"/>
      <c r="W18" s="17"/>
      <c r="X18" s="17">
        <f>I18*2</f>
        <v>4690.3999999999996</v>
      </c>
      <c r="Y18" s="17">
        <f>I18</f>
        <v>2345.1999999999998</v>
      </c>
      <c r="Z18" s="17">
        <f>Y18</f>
        <v>2345.1999999999998</v>
      </c>
      <c r="AA18" s="14">
        <f t="shared" si="0"/>
        <v>3517.7999999999997</v>
      </c>
      <c r="AB18" s="14">
        <f>AA18*12+(Y18+Z18+X18)</f>
        <v>51594.399999999994</v>
      </c>
    </row>
    <row r="19" spans="1:29" ht="14.25" customHeight="1">
      <c r="A19" s="11">
        <v>4</v>
      </c>
      <c r="B19" s="30" t="s">
        <v>30</v>
      </c>
      <c r="C19" s="31"/>
      <c r="D19" s="31"/>
      <c r="E19" s="31"/>
      <c r="F19" s="32"/>
      <c r="G19" s="16">
        <v>0.5</v>
      </c>
      <c r="H19" s="17">
        <v>2890</v>
      </c>
      <c r="I19" s="17">
        <f t="shared" si="2"/>
        <v>1445</v>
      </c>
      <c r="J19" s="19"/>
      <c r="K19" s="19"/>
      <c r="L19" s="19"/>
      <c r="M19" s="19"/>
      <c r="N19" s="19"/>
      <c r="O19" s="14">
        <f>(H19/100*50)/2</f>
        <v>722.5</v>
      </c>
      <c r="P19" s="19"/>
      <c r="Q19" s="19"/>
      <c r="R19" s="17"/>
      <c r="S19" s="19"/>
      <c r="T19" s="19"/>
      <c r="U19" s="17">
        <f>(H19*G19)/100*30</f>
        <v>433.5</v>
      </c>
      <c r="V19" s="17"/>
      <c r="W19" s="17"/>
      <c r="X19" s="17">
        <f>I19*1.33</f>
        <v>1921.8500000000001</v>
      </c>
      <c r="Y19" s="17">
        <f>I19</f>
        <v>1445</v>
      </c>
      <c r="Z19" s="17"/>
      <c r="AA19" s="14">
        <f t="shared" si="0"/>
        <v>2601</v>
      </c>
      <c r="AB19" s="14">
        <f>AA19*12+(Y19+Z19+X19)</f>
        <v>34578.85</v>
      </c>
    </row>
    <row r="20" spans="1:29" ht="15.75" customHeight="1">
      <c r="A20" s="12">
        <v>5</v>
      </c>
      <c r="B20" s="30" t="s">
        <v>31</v>
      </c>
      <c r="C20" s="31"/>
      <c r="D20" s="31"/>
      <c r="E20" s="31"/>
      <c r="F20" s="32"/>
      <c r="G20" s="16">
        <v>1</v>
      </c>
      <c r="H20" s="17">
        <v>2713</v>
      </c>
      <c r="I20" s="17">
        <f t="shared" si="2"/>
        <v>2713</v>
      </c>
      <c r="J20" s="14">
        <f>3723-H20</f>
        <v>1010</v>
      </c>
      <c r="K20" s="19"/>
      <c r="L20" s="19"/>
      <c r="M20" s="19"/>
      <c r="N20" s="19"/>
      <c r="O20" s="19"/>
      <c r="P20" s="19"/>
      <c r="Q20" s="19"/>
      <c r="R20" s="17"/>
      <c r="S20" s="19"/>
      <c r="T20" s="19"/>
      <c r="U20" s="19"/>
      <c r="V20" s="19"/>
      <c r="W20" s="19"/>
      <c r="X20" s="17">
        <f t="shared" ref="X20:X28" si="3">I20*1.33</f>
        <v>3608.2900000000004</v>
      </c>
      <c r="Y20" s="17">
        <v>2713</v>
      </c>
      <c r="Z20" s="19"/>
      <c r="AA20" s="14">
        <f t="shared" si="0"/>
        <v>3723</v>
      </c>
      <c r="AB20" s="14">
        <f t="shared" ref="AB20:AB46" si="4">AA20*12+(Y20+Z20+X20)</f>
        <v>50997.29</v>
      </c>
    </row>
    <row r="21" spans="1:29" ht="14.25" customHeight="1">
      <c r="A21" s="11">
        <v>6</v>
      </c>
      <c r="B21" s="30" t="s">
        <v>32</v>
      </c>
      <c r="C21" s="31"/>
      <c r="D21" s="31"/>
      <c r="E21" s="31"/>
      <c r="F21" s="32"/>
      <c r="G21" s="16">
        <v>0.5</v>
      </c>
      <c r="H21" s="17">
        <v>2890</v>
      </c>
      <c r="I21" s="17">
        <f t="shared" si="2"/>
        <v>1445</v>
      </c>
      <c r="J21" s="19"/>
      <c r="K21" s="19"/>
      <c r="L21" s="19"/>
      <c r="M21" s="19"/>
      <c r="N21" s="19"/>
      <c r="O21" s="19"/>
      <c r="P21" s="19"/>
      <c r="Q21" s="19"/>
      <c r="R21" s="17"/>
      <c r="S21" s="19"/>
      <c r="T21" s="19"/>
      <c r="U21" s="17">
        <f>(H21*G21)/100*30</f>
        <v>433.5</v>
      </c>
      <c r="V21" s="17"/>
      <c r="W21" s="17"/>
      <c r="X21" s="17">
        <f t="shared" si="3"/>
        <v>1921.8500000000001</v>
      </c>
      <c r="Y21" s="17">
        <v>1445</v>
      </c>
      <c r="Z21" s="17"/>
      <c r="AA21" s="14">
        <f t="shared" si="0"/>
        <v>1878.5</v>
      </c>
      <c r="AB21" s="14">
        <f t="shared" si="4"/>
        <v>25908.85</v>
      </c>
    </row>
    <row r="22" spans="1:29" ht="15" customHeight="1">
      <c r="A22" s="11">
        <v>7</v>
      </c>
      <c r="B22" s="30" t="s">
        <v>33</v>
      </c>
      <c r="C22" s="31"/>
      <c r="D22" s="31"/>
      <c r="E22" s="31"/>
      <c r="F22" s="32"/>
      <c r="G22" s="16">
        <v>1</v>
      </c>
      <c r="H22" s="17">
        <v>2079</v>
      </c>
      <c r="I22" s="17">
        <f t="shared" si="2"/>
        <v>2079</v>
      </c>
      <c r="J22" s="14">
        <f>3723-H22</f>
        <v>1644</v>
      </c>
      <c r="K22" s="19"/>
      <c r="L22" s="19"/>
      <c r="M22" s="19"/>
      <c r="N22" s="19"/>
      <c r="O22" s="19"/>
      <c r="P22" s="17">
        <f>(H22*G22)/100*25</f>
        <v>519.75</v>
      </c>
      <c r="Q22" s="19"/>
      <c r="R22" s="17"/>
      <c r="S22" s="19"/>
      <c r="T22" s="19"/>
      <c r="U22" s="19"/>
      <c r="V22" s="19"/>
      <c r="W22" s="19"/>
      <c r="X22" s="17">
        <f t="shared" si="3"/>
        <v>2765.07</v>
      </c>
      <c r="Y22" s="17">
        <v>2079</v>
      </c>
      <c r="Z22" s="19"/>
      <c r="AA22" s="14">
        <f t="shared" si="0"/>
        <v>4242.75</v>
      </c>
      <c r="AB22" s="14">
        <f t="shared" si="4"/>
        <v>55757.07</v>
      </c>
    </row>
    <row r="23" spans="1:29" ht="16.5" customHeight="1">
      <c r="A23" s="11">
        <v>8</v>
      </c>
      <c r="B23" s="30" t="s">
        <v>34</v>
      </c>
      <c r="C23" s="31"/>
      <c r="D23" s="31"/>
      <c r="E23" s="31"/>
      <c r="F23" s="32"/>
      <c r="G23" s="16">
        <v>1</v>
      </c>
      <c r="H23" s="17">
        <v>1921</v>
      </c>
      <c r="I23" s="17">
        <f t="shared" si="2"/>
        <v>1921</v>
      </c>
      <c r="J23" s="14">
        <f>3723-H23</f>
        <v>1802</v>
      </c>
      <c r="K23" s="19"/>
      <c r="L23" s="19"/>
      <c r="M23" s="19"/>
      <c r="N23" s="19"/>
      <c r="O23" s="19"/>
      <c r="P23" s="19"/>
      <c r="Q23" s="19"/>
      <c r="R23" s="17"/>
      <c r="S23" s="19"/>
      <c r="T23" s="19"/>
      <c r="U23" s="19"/>
      <c r="V23" s="19"/>
      <c r="W23" s="19"/>
      <c r="X23" s="17">
        <f t="shared" si="3"/>
        <v>2554.9300000000003</v>
      </c>
      <c r="Y23" s="17">
        <v>1921</v>
      </c>
      <c r="Z23" s="19"/>
      <c r="AA23" s="14">
        <f t="shared" si="0"/>
        <v>3723</v>
      </c>
      <c r="AB23" s="14">
        <f t="shared" si="4"/>
        <v>49151.93</v>
      </c>
    </row>
    <row r="24" spans="1:29" ht="15" customHeight="1">
      <c r="A24" s="11">
        <v>9</v>
      </c>
      <c r="B24" s="30" t="s">
        <v>35</v>
      </c>
      <c r="C24" s="31"/>
      <c r="D24" s="31"/>
      <c r="E24" s="31"/>
      <c r="F24" s="32"/>
      <c r="G24" s="16">
        <v>1</v>
      </c>
      <c r="H24" s="17">
        <v>2079</v>
      </c>
      <c r="I24" s="17">
        <f t="shared" si="2"/>
        <v>2079</v>
      </c>
      <c r="J24" s="14">
        <f>3723-H24</f>
        <v>1644</v>
      </c>
      <c r="K24" s="19"/>
      <c r="L24" s="19"/>
      <c r="M24" s="19"/>
      <c r="N24" s="19"/>
      <c r="O24" s="19"/>
      <c r="P24" s="19"/>
      <c r="Q24" s="19"/>
      <c r="R24" s="17"/>
      <c r="S24" s="19"/>
      <c r="T24" s="19"/>
      <c r="U24" s="19"/>
      <c r="V24" s="19"/>
      <c r="W24" s="19"/>
      <c r="X24" s="17">
        <f t="shared" si="3"/>
        <v>2765.07</v>
      </c>
      <c r="Y24" s="17">
        <v>2079</v>
      </c>
      <c r="Z24" s="19"/>
      <c r="AA24" s="14">
        <f t="shared" si="0"/>
        <v>3723</v>
      </c>
      <c r="AB24" s="14">
        <f t="shared" si="4"/>
        <v>49520.07</v>
      </c>
    </row>
    <row r="25" spans="1:29" ht="16.5" customHeight="1">
      <c r="A25" s="11">
        <v>10</v>
      </c>
      <c r="B25" s="30" t="s">
        <v>36</v>
      </c>
      <c r="C25" s="31"/>
      <c r="D25" s="31"/>
      <c r="E25" s="31"/>
      <c r="F25" s="32"/>
      <c r="G25" s="16">
        <v>0.5</v>
      </c>
      <c r="H25" s="17">
        <v>1762</v>
      </c>
      <c r="I25" s="17">
        <f t="shared" si="2"/>
        <v>881</v>
      </c>
      <c r="J25" s="14">
        <f>(3723-H25)/2</f>
        <v>980.5</v>
      </c>
      <c r="K25" s="19"/>
      <c r="L25" s="19"/>
      <c r="M25" s="19"/>
      <c r="N25" s="19"/>
      <c r="O25" s="19"/>
      <c r="P25" s="19"/>
      <c r="Q25" s="19"/>
      <c r="R25" s="17"/>
      <c r="S25" s="19"/>
      <c r="T25" s="19"/>
      <c r="U25" s="19"/>
      <c r="V25" s="19"/>
      <c r="W25" s="19"/>
      <c r="X25" s="17">
        <f>(I25*1.33)+302</f>
        <v>1473.73</v>
      </c>
      <c r="Y25" s="17">
        <v>881</v>
      </c>
      <c r="Z25" s="19"/>
      <c r="AA25" s="14">
        <f t="shared" si="0"/>
        <v>1861.5</v>
      </c>
      <c r="AB25" s="14">
        <f t="shared" si="4"/>
        <v>24692.73</v>
      </c>
    </row>
    <row r="26" spans="1:29" ht="15.75" customHeight="1">
      <c r="A26" s="11">
        <v>11</v>
      </c>
      <c r="B26" s="30" t="s">
        <v>37</v>
      </c>
      <c r="C26" s="31"/>
      <c r="D26" s="31"/>
      <c r="E26" s="31"/>
      <c r="F26" s="32"/>
      <c r="G26" s="16">
        <v>1</v>
      </c>
      <c r="H26" s="17">
        <v>1762</v>
      </c>
      <c r="I26" s="17">
        <f t="shared" si="2"/>
        <v>1762</v>
      </c>
      <c r="J26" s="14">
        <f>3723-H26</f>
        <v>1961</v>
      </c>
      <c r="K26" s="19"/>
      <c r="L26" s="19"/>
      <c r="M26" s="19"/>
      <c r="N26" s="19"/>
      <c r="O26" s="19"/>
      <c r="P26" s="19"/>
      <c r="Q26" s="19"/>
      <c r="R26" s="17"/>
      <c r="S26" s="19"/>
      <c r="T26" s="17">
        <f>(H26/250*365)/100*40</f>
        <v>1029.008</v>
      </c>
      <c r="U26" s="19"/>
      <c r="V26" s="19"/>
      <c r="W26" s="19"/>
      <c r="X26" s="17">
        <f t="shared" si="3"/>
        <v>2343.46</v>
      </c>
      <c r="Y26" s="17">
        <v>1762</v>
      </c>
      <c r="Z26" s="19"/>
      <c r="AA26" s="14">
        <f t="shared" si="0"/>
        <v>4752.0079999999998</v>
      </c>
      <c r="AB26" s="14">
        <f t="shared" si="4"/>
        <v>61129.555999999997</v>
      </c>
    </row>
    <row r="27" spans="1:29" ht="14.25" customHeight="1">
      <c r="A27" s="11">
        <v>12</v>
      </c>
      <c r="B27" s="30" t="s">
        <v>38</v>
      </c>
      <c r="C27" s="31"/>
      <c r="D27" s="31"/>
      <c r="E27" s="31"/>
      <c r="F27" s="32"/>
      <c r="G27" s="16">
        <v>5.5</v>
      </c>
      <c r="H27" s="17">
        <v>1762</v>
      </c>
      <c r="I27" s="17">
        <f t="shared" si="2"/>
        <v>9691</v>
      </c>
      <c r="J27" s="14">
        <f>(3723-H27)*G27</f>
        <v>10785.5</v>
      </c>
      <c r="K27" s="19"/>
      <c r="L27" s="19"/>
      <c r="M27" s="19"/>
      <c r="N27" s="19"/>
      <c r="O27" s="19"/>
      <c r="P27" s="19"/>
      <c r="Q27" s="17">
        <f>H27/100*10</f>
        <v>176.20000000000002</v>
      </c>
      <c r="R27" s="17"/>
      <c r="S27" s="19"/>
      <c r="T27" s="19"/>
      <c r="U27" s="19"/>
      <c r="V27" s="19"/>
      <c r="W27" s="19"/>
      <c r="X27" s="17">
        <f t="shared" si="3"/>
        <v>12889.03</v>
      </c>
      <c r="Y27" s="17">
        <v>9691</v>
      </c>
      <c r="Z27" s="19"/>
      <c r="AA27" s="14">
        <f t="shared" si="0"/>
        <v>20652.7</v>
      </c>
      <c r="AB27" s="14">
        <f t="shared" si="4"/>
        <v>270412.43000000005</v>
      </c>
    </row>
    <row r="28" spans="1:29" ht="17.25" customHeight="1">
      <c r="A28" s="11">
        <v>13</v>
      </c>
      <c r="B28" s="30" t="s">
        <v>39</v>
      </c>
      <c r="C28" s="31"/>
      <c r="D28" s="31"/>
      <c r="E28" s="31"/>
      <c r="F28" s="32"/>
      <c r="G28" s="16">
        <v>2</v>
      </c>
      <c r="H28" s="17">
        <v>1921</v>
      </c>
      <c r="I28" s="17">
        <f t="shared" si="2"/>
        <v>3842</v>
      </c>
      <c r="J28" s="14">
        <f>(3723-H28)*G28</f>
        <v>3604</v>
      </c>
      <c r="K28" s="19"/>
      <c r="L28" s="19"/>
      <c r="M28" s="19"/>
      <c r="N28" s="19"/>
      <c r="O28" s="19"/>
      <c r="P28" s="19"/>
      <c r="Q28" s="19"/>
      <c r="R28" s="17"/>
      <c r="S28" s="19"/>
      <c r="T28" s="17">
        <f>(H28/250*365)/100*40</f>
        <v>1121.864</v>
      </c>
      <c r="U28" s="19"/>
      <c r="V28" s="19"/>
      <c r="W28" s="19"/>
      <c r="X28" s="17">
        <f t="shared" si="3"/>
        <v>5109.8600000000006</v>
      </c>
      <c r="Y28" s="17">
        <v>3842</v>
      </c>
      <c r="Z28" s="19"/>
      <c r="AA28" s="14">
        <f t="shared" si="0"/>
        <v>8567.8639999999996</v>
      </c>
      <c r="AB28" s="14">
        <f t="shared" si="4"/>
        <v>111766.22799999999</v>
      </c>
    </row>
    <row r="29" spans="1:29" ht="16.5" customHeight="1">
      <c r="A29" s="11"/>
      <c r="B29" s="33" t="s">
        <v>40</v>
      </c>
      <c r="C29" s="36"/>
      <c r="D29" s="36"/>
      <c r="E29" s="36"/>
      <c r="F29" s="37"/>
      <c r="G29" s="16"/>
      <c r="H29" s="19"/>
      <c r="I29" s="17"/>
      <c r="J29" s="19"/>
      <c r="K29" s="19"/>
      <c r="L29" s="19"/>
      <c r="M29" s="19"/>
      <c r="N29" s="19"/>
      <c r="O29" s="19"/>
      <c r="P29" s="19"/>
      <c r="Q29" s="19"/>
      <c r="R29" s="17"/>
      <c r="S29" s="19"/>
      <c r="T29" s="19"/>
      <c r="U29" s="19"/>
      <c r="V29" s="19"/>
      <c r="W29" s="19"/>
      <c r="X29" s="17"/>
      <c r="Y29" s="19"/>
      <c r="Z29" s="19"/>
      <c r="AA29" s="14"/>
      <c r="AB29" s="14"/>
      <c r="AC29" s="22"/>
    </row>
    <row r="30" spans="1:29" ht="17.25" customHeight="1">
      <c r="A30" s="11">
        <v>14</v>
      </c>
      <c r="B30" s="30" t="s">
        <v>41</v>
      </c>
      <c r="C30" s="31"/>
      <c r="D30" s="31"/>
      <c r="E30" s="31"/>
      <c r="F30" s="32"/>
      <c r="G30" s="16">
        <v>1</v>
      </c>
      <c r="H30" s="17">
        <v>4091</v>
      </c>
      <c r="I30" s="17">
        <f t="shared" si="2"/>
        <v>4091</v>
      </c>
      <c r="J30" s="19"/>
      <c r="K30" s="19"/>
      <c r="L30" s="19"/>
      <c r="M30" s="19"/>
      <c r="N30" s="17">
        <f>(H30*G30)/100*20</f>
        <v>818.19999999999993</v>
      </c>
      <c r="O30" s="19"/>
      <c r="P30" s="19"/>
      <c r="Q30" s="19"/>
      <c r="R30" s="17">
        <f>I30/100*10</f>
        <v>409.09999999999997</v>
      </c>
      <c r="S30" s="19"/>
      <c r="T30" s="19"/>
      <c r="U30" s="17">
        <f t="shared" ref="U30:U36" si="5">(H30*G30)/100*30</f>
        <v>1227.3</v>
      </c>
      <c r="V30" s="17">
        <f>I30*50%</f>
        <v>2045.5</v>
      </c>
      <c r="W30" s="17"/>
      <c r="X30" s="17">
        <f>(I30*0.8)+658.31</f>
        <v>3931.11</v>
      </c>
      <c r="Y30" s="17">
        <f>I30</f>
        <v>4091</v>
      </c>
      <c r="Z30" s="17">
        <f>I30</f>
        <v>4091</v>
      </c>
      <c r="AA30" s="14">
        <f t="shared" si="0"/>
        <v>8591.1</v>
      </c>
      <c r="AB30" s="14">
        <f t="shared" si="4"/>
        <v>115206.31000000001</v>
      </c>
      <c r="AC30" s="22"/>
    </row>
    <row r="31" spans="1:29" ht="14.25" customHeight="1">
      <c r="A31" s="11">
        <v>15</v>
      </c>
      <c r="B31" s="30" t="s">
        <v>42</v>
      </c>
      <c r="C31" s="31"/>
      <c r="D31" s="31"/>
      <c r="E31" s="31"/>
      <c r="F31" s="32"/>
      <c r="G31" s="16">
        <v>0.5</v>
      </c>
      <c r="H31" s="17">
        <v>3735</v>
      </c>
      <c r="I31" s="17">
        <f t="shared" si="2"/>
        <v>1867.5</v>
      </c>
      <c r="J31" s="19"/>
      <c r="K31" s="19"/>
      <c r="L31" s="19"/>
      <c r="M31" s="19"/>
      <c r="N31" s="17">
        <f>(H31/100*20)/2</f>
        <v>373.5</v>
      </c>
      <c r="O31" s="19"/>
      <c r="P31" s="19"/>
      <c r="Q31" s="19"/>
      <c r="R31" s="17"/>
      <c r="S31" s="19"/>
      <c r="T31" s="19"/>
      <c r="U31" s="17">
        <f t="shared" si="5"/>
        <v>560.25</v>
      </c>
      <c r="V31" s="17"/>
      <c r="W31" s="17"/>
      <c r="X31" s="17">
        <f>I31*0.63</f>
        <v>1176.5250000000001</v>
      </c>
      <c r="Y31" s="17">
        <v>1867.5</v>
      </c>
      <c r="Z31" s="17"/>
      <c r="AA31" s="14">
        <f t="shared" si="0"/>
        <v>2801.25</v>
      </c>
      <c r="AB31" s="14">
        <f t="shared" si="4"/>
        <v>36659.025000000001</v>
      </c>
    </row>
    <row r="32" spans="1:29" ht="14.25" customHeight="1">
      <c r="A32" s="11">
        <v>16</v>
      </c>
      <c r="B32" s="30" t="s">
        <v>29</v>
      </c>
      <c r="C32" s="31"/>
      <c r="D32" s="31"/>
      <c r="E32" s="31"/>
      <c r="F32" s="32"/>
      <c r="G32" s="16">
        <v>0.5</v>
      </c>
      <c r="H32" s="17">
        <v>4264</v>
      </c>
      <c r="I32" s="17">
        <f t="shared" si="2"/>
        <v>2132</v>
      </c>
      <c r="J32" s="19"/>
      <c r="K32" s="19"/>
      <c r="L32" s="19"/>
      <c r="M32" s="19"/>
      <c r="N32" s="17">
        <f>(H32/100*20)/2</f>
        <v>426.4</v>
      </c>
      <c r="O32" s="19"/>
      <c r="P32" s="19"/>
      <c r="Q32" s="19"/>
      <c r="R32" s="17"/>
      <c r="S32" s="19"/>
      <c r="T32" s="19"/>
      <c r="U32" s="17">
        <f t="shared" si="5"/>
        <v>639.6</v>
      </c>
      <c r="V32" s="17"/>
      <c r="W32" s="17"/>
      <c r="X32" s="17">
        <f>I32*0.63</f>
        <v>1343.16</v>
      </c>
      <c r="Y32" s="17">
        <v>2132</v>
      </c>
      <c r="Z32" s="17">
        <f>Y32</f>
        <v>2132</v>
      </c>
      <c r="AA32" s="14">
        <f t="shared" si="0"/>
        <v>3198</v>
      </c>
      <c r="AB32" s="14">
        <f t="shared" si="4"/>
        <v>43983.16</v>
      </c>
    </row>
    <row r="33" spans="1:33">
      <c r="A33" s="11">
        <v>17</v>
      </c>
      <c r="B33" s="73" t="s">
        <v>44</v>
      </c>
      <c r="C33" s="74"/>
      <c r="D33" s="74"/>
      <c r="E33" s="74"/>
      <c r="F33" s="75"/>
      <c r="G33" s="16">
        <v>0.25</v>
      </c>
      <c r="H33" s="17">
        <v>3735</v>
      </c>
      <c r="I33" s="17">
        <f t="shared" si="2"/>
        <v>933.75</v>
      </c>
      <c r="J33" s="19"/>
      <c r="K33" s="19"/>
      <c r="L33" s="19"/>
      <c r="M33" s="19"/>
      <c r="N33" s="17">
        <f>(H33/100*20)/4</f>
        <v>186.75</v>
      </c>
      <c r="O33" s="19"/>
      <c r="P33" s="19"/>
      <c r="Q33" s="19"/>
      <c r="R33" s="17"/>
      <c r="S33" s="19"/>
      <c r="T33" s="19"/>
      <c r="U33" s="17">
        <f t="shared" si="5"/>
        <v>280.125</v>
      </c>
      <c r="V33" s="17"/>
      <c r="W33" s="17"/>
      <c r="X33" s="17">
        <f>(I33*0.62)+65.49</f>
        <v>644.41499999999996</v>
      </c>
      <c r="Y33" s="17">
        <f>I33</f>
        <v>933.75</v>
      </c>
      <c r="Z33" s="17"/>
      <c r="AA33" s="14">
        <f t="shared" si="0"/>
        <v>1400.625</v>
      </c>
      <c r="AB33" s="14">
        <f t="shared" si="4"/>
        <v>18385.665000000001</v>
      </c>
    </row>
    <row r="34" spans="1:33">
      <c r="A34" s="11">
        <v>18</v>
      </c>
      <c r="B34" s="73" t="s">
        <v>45</v>
      </c>
      <c r="C34" s="74"/>
      <c r="D34" s="74"/>
      <c r="E34" s="74"/>
      <c r="F34" s="75"/>
      <c r="G34" s="16">
        <v>3.6</v>
      </c>
      <c r="H34" s="17">
        <v>4264</v>
      </c>
      <c r="I34" s="17">
        <f t="shared" si="2"/>
        <v>15350.4</v>
      </c>
      <c r="J34" s="19"/>
      <c r="K34" s="19"/>
      <c r="L34" s="19"/>
      <c r="M34" s="19"/>
      <c r="N34" s="17">
        <f>(H34*G34)/100*20</f>
        <v>3070.08</v>
      </c>
      <c r="O34" s="19"/>
      <c r="P34" s="19"/>
      <c r="Q34" s="19"/>
      <c r="R34" s="17">
        <f>H34/100*10</f>
        <v>426.4</v>
      </c>
      <c r="S34" s="19"/>
      <c r="T34" s="19"/>
      <c r="U34" s="17">
        <f t="shared" si="5"/>
        <v>4605.12</v>
      </c>
      <c r="V34" s="17"/>
      <c r="W34" s="17"/>
      <c r="X34" s="17">
        <f t="shared" ref="X34" si="6">I34*0.62</f>
        <v>9517.2479999999996</v>
      </c>
      <c r="Y34" s="17">
        <v>15350.4</v>
      </c>
      <c r="Z34" s="17">
        <f>Y34</f>
        <v>15350.4</v>
      </c>
      <c r="AA34" s="14">
        <f t="shared" si="0"/>
        <v>23452</v>
      </c>
      <c r="AB34" s="14">
        <f t="shared" si="4"/>
        <v>321642.04800000001</v>
      </c>
    </row>
    <row r="35" spans="1:33">
      <c r="A35" s="11">
        <v>19</v>
      </c>
      <c r="B35" s="73" t="s">
        <v>46</v>
      </c>
      <c r="C35" s="74"/>
      <c r="D35" s="74"/>
      <c r="E35" s="74"/>
      <c r="F35" s="75"/>
      <c r="G35" s="16">
        <v>0.5</v>
      </c>
      <c r="H35" s="17">
        <v>2890</v>
      </c>
      <c r="I35" s="17">
        <f t="shared" si="2"/>
        <v>1445</v>
      </c>
      <c r="J35" s="19"/>
      <c r="K35" s="19"/>
      <c r="L35" s="19"/>
      <c r="M35" s="19"/>
      <c r="N35" s="19"/>
      <c r="O35" s="19"/>
      <c r="P35" s="19"/>
      <c r="Q35" s="19"/>
      <c r="R35" s="17"/>
      <c r="S35" s="17">
        <f>(H35/100*10)/2</f>
        <v>144.5</v>
      </c>
      <c r="T35" s="19"/>
      <c r="U35" s="17">
        <f t="shared" si="5"/>
        <v>433.5</v>
      </c>
      <c r="V35" s="17"/>
      <c r="W35" s="17"/>
      <c r="X35" s="17">
        <f>I35*0.63</f>
        <v>910.35</v>
      </c>
      <c r="Y35" s="17">
        <v>1445</v>
      </c>
      <c r="Z35" s="17"/>
      <c r="AA35" s="14">
        <f t="shared" si="0"/>
        <v>2023</v>
      </c>
      <c r="AB35" s="14">
        <f t="shared" si="4"/>
        <v>26631.35</v>
      </c>
    </row>
    <row r="36" spans="1:33">
      <c r="A36" s="11">
        <v>20</v>
      </c>
      <c r="B36" s="73" t="s">
        <v>32</v>
      </c>
      <c r="C36" s="74"/>
      <c r="D36" s="74"/>
      <c r="E36" s="74"/>
      <c r="F36" s="75"/>
      <c r="G36" s="16">
        <v>0.25</v>
      </c>
      <c r="H36" s="17">
        <v>2890</v>
      </c>
      <c r="I36" s="17">
        <f t="shared" si="2"/>
        <v>722.5</v>
      </c>
      <c r="J36" s="19"/>
      <c r="K36" s="19"/>
      <c r="L36" s="19"/>
      <c r="M36" s="19"/>
      <c r="N36" s="19"/>
      <c r="O36" s="19"/>
      <c r="P36" s="19"/>
      <c r="Q36" s="19"/>
      <c r="R36" s="17"/>
      <c r="S36" s="19"/>
      <c r="T36" s="19"/>
      <c r="U36" s="17">
        <f t="shared" si="5"/>
        <v>216.75</v>
      </c>
      <c r="V36" s="17"/>
      <c r="W36" s="17"/>
      <c r="X36" s="17">
        <f t="shared" ref="X36:X45" si="7">I36*0.63</f>
        <v>455.17500000000001</v>
      </c>
      <c r="Y36" s="17">
        <v>722.5</v>
      </c>
      <c r="Z36" s="17"/>
      <c r="AA36" s="14">
        <f t="shared" si="0"/>
        <v>939.25</v>
      </c>
      <c r="AB36" s="14">
        <f t="shared" si="4"/>
        <v>12448.674999999999</v>
      </c>
    </row>
    <row r="37" spans="1:33">
      <c r="A37" s="11">
        <v>21</v>
      </c>
      <c r="B37" s="73" t="s">
        <v>31</v>
      </c>
      <c r="C37" s="74"/>
      <c r="D37" s="74"/>
      <c r="E37" s="74"/>
      <c r="F37" s="75"/>
      <c r="G37" s="16">
        <v>0.5</v>
      </c>
      <c r="H37" s="17">
        <v>2713</v>
      </c>
      <c r="I37" s="17">
        <f t="shared" si="2"/>
        <v>1356.5</v>
      </c>
      <c r="J37" s="14">
        <f>(3723-H37)/2</f>
        <v>505</v>
      </c>
      <c r="K37" s="19"/>
      <c r="L37" s="19"/>
      <c r="M37" s="19"/>
      <c r="N37" s="19"/>
      <c r="O37" s="19"/>
      <c r="P37" s="19"/>
      <c r="Q37" s="19"/>
      <c r="R37" s="17"/>
      <c r="S37" s="19"/>
      <c r="T37" s="19"/>
      <c r="U37" s="19"/>
      <c r="V37" s="19"/>
      <c r="W37" s="19"/>
      <c r="X37" s="17">
        <f t="shared" si="7"/>
        <v>854.59500000000003</v>
      </c>
      <c r="Y37" s="17">
        <f t="shared" ref="Y37:Y46" si="8">I37</f>
        <v>1356.5</v>
      </c>
      <c r="Z37" s="19"/>
      <c r="AA37" s="14">
        <f t="shared" si="0"/>
        <v>1861.5</v>
      </c>
      <c r="AB37" s="14">
        <f t="shared" si="4"/>
        <v>24549.095000000001</v>
      </c>
    </row>
    <row r="38" spans="1:33">
      <c r="A38" s="11">
        <v>22</v>
      </c>
      <c r="B38" s="73" t="s">
        <v>47</v>
      </c>
      <c r="C38" s="74"/>
      <c r="D38" s="74"/>
      <c r="E38" s="74"/>
      <c r="F38" s="75"/>
      <c r="G38" s="16">
        <v>2.2999999999999998</v>
      </c>
      <c r="H38" s="17">
        <v>2396</v>
      </c>
      <c r="I38" s="17">
        <f t="shared" si="2"/>
        <v>5510.7999999999993</v>
      </c>
      <c r="J38" s="14">
        <f>(3723-H38)*G38</f>
        <v>3052.1</v>
      </c>
      <c r="K38" s="19"/>
      <c r="L38" s="19"/>
      <c r="M38" s="19"/>
      <c r="N38" s="19"/>
      <c r="O38" s="19"/>
      <c r="P38" s="19"/>
      <c r="Q38" s="19"/>
      <c r="R38" s="17"/>
      <c r="S38" s="19"/>
      <c r="T38" s="19"/>
      <c r="U38" s="19"/>
      <c r="V38" s="19"/>
      <c r="W38" s="19"/>
      <c r="X38" s="17">
        <f>I38*0.63</f>
        <v>3471.8039999999996</v>
      </c>
      <c r="Y38" s="17">
        <f t="shared" si="8"/>
        <v>5510.7999999999993</v>
      </c>
      <c r="Z38" s="19"/>
      <c r="AA38" s="14">
        <f t="shared" si="0"/>
        <v>8562.9</v>
      </c>
      <c r="AB38" s="14">
        <f t="shared" si="4"/>
        <v>111737.40399999998</v>
      </c>
    </row>
    <row r="39" spans="1:33">
      <c r="A39" s="11">
        <v>23</v>
      </c>
      <c r="B39" s="73" t="s">
        <v>48</v>
      </c>
      <c r="C39" s="74"/>
      <c r="D39" s="74"/>
      <c r="E39" s="74"/>
      <c r="F39" s="75"/>
      <c r="G39" s="16">
        <v>1.5</v>
      </c>
      <c r="H39" s="17">
        <v>2079</v>
      </c>
      <c r="I39" s="17">
        <f t="shared" si="2"/>
        <v>3118.5</v>
      </c>
      <c r="J39" s="14">
        <f>(3723-H39)*G39</f>
        <v>2466</v>
      </c>
      <c r="K39" s="19"/>
      <c r="L39" s="19"/>
      <c r="M39" s="19"/>
      <c r="N39" s="19"/>
      <c r="O39" s="19"/>
      <c r="P39" s="19"/>
      <c r="Q39" s="19"/>
      <c r="R39" s="17"/>
      <c r="S39" s="19"/>
      <c r="T39" s="19"/>
      <c r="U39" s="19"/>
      <c r="V39" s="19"/>
      <c r="W39" s="19"/>
      <c r="X39" s="17">
        <f t="shared" si="7"/>
        <v>1964.655</v>
      </c>
      <c r="Y39" s="17">
        <f t="shared" si="8"/>
        <v>3118.5</v>
      </c>
      <c r="Z39" s="19"/>
      <c r="AA39" s="14">
        <f t="shared" si="0"/>
        <v>5584.5</v>
      </c>
      <c r="AB39" s="14">
        <f t="shared" si="4"/>
        <v>72097.154999999999</v>
      </c>
    </row>
    <row r="40" spans="1:33">
      <c r="A40" s="11">
        <v>24</v>
      </c>
      <c r="B40" s="73" t="s">
        <v>36</v>
      </c>
      <c r="C40" s="74"/>
      <c r="D40" s="74"/>
      <c r="E40" s="74"/>
      <c r="F40" s="75"/>
      <c r="G40" s="16">
        <v>0.5</v>
      </c>
      <c r="H40" s="17">
        <v>1762</v>
      </c>
      <c r="I40" s="17">
        <f t="shared" si="2"/>
        <v>881</v>
      </c>
      <c r="J40" s="14">
        <f>(3723-H40)/2</f>
        <v>980.5</v>
      </c>
      <c r="K40" s="19"/>
      <c r="L40" s="19"/>
      <c r="M40" s="19"/>
      <c r="N40" s="19"/>
      <c r="O40" s="19"/>
      <c r="P40" s="19"/>
      <c r="Q40" s="19"/>
      <c r="R40" s="17"/>
      <c r="S40" s="19"/>
      <c r="T40" s="19"/>
      <c r="U40" s="19"/>
      <c r="V40" s="19"/>
      <c r="W40" s="19"/>
      <c r="X40" s="17">
        <f t="shared" si="7"/>
        <v>555.03</v>
      </c>
      <c r="Y40" s="17">
        <f t="shared" si="8"/>
        <v>881</v>
      </c>
      <c r="Z40" s="19"/>
      <c r="AA40" s="14">
        <f t="shared" si="0"/>
        <v>1861.5</v>
      </c>
      <c r="AB40" s="14">
        <f t="shared" si="4"/>
        <v>23774.03</v>
      </c>
    </row>
    <row r="41" spans="1:33">
      <c r="A41" s="11">
        <v>25</v>
      </c>
      <c r="B41" s="73" t="s">
        <v>49</v>
      </c>
      <c r="C41" s="74"/>
      <c r="D41" s="74"/>
      <c r="E41" s="74"/>
      <c r="F41" s="75"/>
      <c r="G41" s="16">
        <v>0.25</v>
      </c>
      <c r="H41" s="17">
        <v>1762</v>
      </c>
      <c r="I41" s="17">
        <f t="shared" si="2"/>
        <v>440.5</v>
      </c>
      <c r="J41" s="14">
        <f>(3723-H41)/4</f>
        <v>490.25</v>
      </c>
      <c r="K41" s="19"/>
      <c r="L41" s="19"/>
      <c r="M41" s="19"/>
      <c r="N41" s="19"/>
      <c r="O41" s="19"/>
      <c r="P41" s="19"/>
      <c r="Q41" s="19"/>
      <c r="R41" s="17"/>
      <c r="S41" s="19"/>
      <c r="T41" s="19"/>
      <c r="U41" s="19"/>
      <c r="V41" s="19"/>
      <c r="W41" s="19"/>
      <c r="X41" s="17">
        <f>I41*0.63</f>
        <v>277.51499999999999</v>
      </c>
      <c r="Y41" s="17">
        <f t="shared" si="8"/>
        <v>440.5</v>
      </c>
      <c r="Z41" s="19"/>
      <c r="AA41" s="14">
        <f t="shared" si="0"/>
        <v>930.75</v>
      </c>
      <c r="AB41" s="14">
        <f t="shared" si="4"/>
        <v>11887.014999999999</v>
      </c>
    </row>
    <row r="42" spans="1:33">
      <c r="A42" s="11">
        <v>26</v>
      </c>
      <c r="B42" s="73" t="s">
        <v>50</v>
      </c>
      <c r="C42" s="74"/>
      <c r="D42" s="74"/>
      <c r="E42" s="74"/>
      <c r="F42" s="75"/>
      <c r="G42" s="16">
        <v>0.5</v>
      </c>
      <c r="H42" s="17">
        <v>1921</v>
      </c>
      <c r="I42" s="17">
        <f t="shared" si="2"/>
        <v>960.5</v>
      </c>
      <c r="J42" s="14">
        <f>(3723-H42)/2</f>
        <v>901</v>
      </c>
      <c r="K42" s="19"/>
      <c r="L42" s="19"/>
      <c r="M42" s="19"/>
      <c r="N42" s="19"/>
      <c r="O42" s="19"/>
      <c r="P42" s="19"/>
      <c r="Q42" s="19"/>
      <c r="R42" s="17"/>
      <c r="S42" s="19"/>
      <c r="T42" s="19"/>
      <c r="U42" s="19"/>
      <c r="V42" s="19"/>
      <c r="W42" s="19"/>
      <c r="X42" s="17">
        <f t="shared" si="7"/>
        <v>605.11500000000001</v>
      </c>
      <c r="Y42" s="17">
        <f t="shared" si="8"/>
        <v>960.5</v>
      </c>
      <c r="Z42" s="19"/>
      <c r="AA42" s="14">
        <f t="shared" si="0"/>
        <v>1861.5</v>
      </c>
      <c r="AB42" s="14">
        <f t="shared" si="4"/>
        <v>23903.615000000002</v>
      </c>
    </row>
    <row r="43" spans="1:33">
      <c r="A43" s="11">
        <v>27</v>
      </c>
      <c r="B43" s="73" t="s">
        <v>38</v>
      </c>
      <c r="C43" s="74"/>
      <c r="D43" s="74"/>
      <c r="E43" s="74"/>
      <c r="F43" s="75"/>
      <c r="G43" s="16">
        <v>0.5</v>
      </c>
      <c r="H43" s="17">
        <v>1762</v>
      </c>
      <c r="I43" s="17">
        <f t="shared" si="2"/>
        <v>881</v>
      </c>
      <c r="J43" s="14">
        <f>(3723-H43)/2</f>
        <v>980.5</v>
      </c>
      <c r="K43" s="19"/>
      <c r="L43" s="19"/>
      <c r="M43" s="19"/>
      <c r="N43" s="19"/>
      <c r="O43" s="19"/>
      <c r="P43" s="19"/>
      <c r="Q43" s="17">
        <f>(H43*G43)/100*10</f>
        <v>88.100000000000009</v>
      </c>
      <c r="R43" s="17"/>
      <c r="S43" s="19"/>
      <c r="T43" s="19"/>
      <c r="U43" s="19"/>
      <c r="V43" s="19"/>
      <c r="W43" s="19"/>
      <c r="X43" s="17">
        <f>I43*0.63</f>
        <v>555.03</v>
      </c>
      <c r="Y43" s="17">
        <f t="shared" si="8"/>
        <v>881</v>
      </c>
      <c r="Z43" s="19"/>
      <c r="AA43" s="14">
        <f t="shared" si="0"/>
        <v>1949.6</v>
      </c>
      <c r="AB43" s="14">
        <f t="shared" si="4"/>
        <v>24831.229999999996</v>
      </c>
    </row>
    <row r="44" spans="1:33">
      <c r="A44" s="11">
        <v>28</v>
      </c>
      <c r="B44" s="73" t="s">
        <v>34</v>
      </c>
      <c r="C44" s="74"/>
      <c r="D44" s="74"/>
      <c r="E44" s="74"/>
      <c r="F44" s="75"/>
      <c r="G44" s="16">
        <v>0.5</v>
      </c>
      <c r="H44" s="17">
        <v>1921</v>
      </c>
      <c r="I44" s="17">
        <f t="shared" si="2"/>
        <v>960.5</v>
      </c>
      <c r="J44" s="14">
        <f>(3723-H44)/2</f>
        <v>901</v>
      </c>
      <c r="K44" s="19"/>
      <c r="L44" s="19"/>
      <c r="M44" s="19"/>
      <c r="N44" s="19"/>
      <c r="O44" s="19"/>
      <c r="P44" s="19"/>
      <c r="Q44" s="19"/>
      <c r="R44" s="17"/>
      <c r="S44" s="19"/>
      <c r="T44" s="19"/>
      <c r="U44" s="19"/>
      <c r="V44" s="19"/>
      <c r="W44" s="19"/>
      <c r="X44" s="17">
        <f t="shared" si="7"/>
        <v>605.11500000000001</v>
      </c>
      <c r="Y44" s="17">
        <f t="shared" si="8"/>
        <v>960.5</v>
      </c>
      <c r="Z44" s="19"/>
      <c r="AA44" s="14">
        <f t="shared" si="0"/>
        <v>1861.5</v>
      </c>
      <c r="AB44" s="14">
        <f t="shared" si="4"/>
        <v>23903.615000000002</v>
      </c>
    </row>
    <row r="45" spans="1:33">
      <c r="A45" s="11">
        <v>29</v>
      </c>
      <c r="B45" s="73" t="s">
        <v>37</v>
      </c>
      <c r="C45" s="74"/>
      <c r="D45" s="74"/>
      <c r="E45" s="74"/>
      <c r="F45" s="75"/>
      <c r="G45" s="16">
        <v>1</v>
      </c>
      <c r="H45" s="17">
        <v>1762</v>
      </c>
      <c r="I45" s="17">
        <f t="shared" si="2"/>
        <v>1762</v>
      </c>
      <c r="J45" s="14">
        <f>3723-H45</f>
        <v>1961</v>
      </c>
      <c r="K45" s="19"/>
      <c r="L45" s="19"/>
      <c r="M45" s="19"/>
      <c r="N45" s="19"/>
      <c r="O45" s="19"/>
      <c r="P45" s="19"/>
      <c r="Q45" s="19"/>
      <c r="R45" s="17"/>
      <c r="S45" s="19"/>
      <c r="T45" s="17">
        <f>(H45/250*365)/100*40</f>
        <v>1029.008</v>
      </c>
      <c r="U45" s="19"/>
      <c r="V45" s="19"/>
      <c r="W45" s="19"/>
      <c r="X45" s="17">
        <f t="shared" si="7"/>
        <v>1110.06</v>
      </c>
      <c r="Y45" s="17">
        <f t="shared" si="8"/>
        <v>1762</v>
      </c>
      <c r="Z45" s="19"/>
      <c r="AA45" s="14">
        <f t="shared" si="0"/>
        <v>4752.0079999999998</v>
      </c>
      <c r="AB45" s="14">
        <f t="shared" si="4"/>
        <v>59896.155999999995</v>
      </c>
      <c r="AG45" s="22"/>
    </row>
    <row r="46" spans="1:33">
      <c r="A46" s="11">
        <v>30</v>
      </c>
      <c r="B46" s="73" t="s">
        <v>51</v>
      </c>
      <c r="C46" s="74"/>
      <c r="D46" s="74"/>
      <c r="E46" s="74"/>
      <c r="F46" s="75"/>
      <c r="G46" s="16">
        <v>0.8</v>
      </c>
      <c r="H46" s="17">
        <v>1762</v>
      </c>
      <c r="I46" s="17">
        <f t="shared" si="2"/>
        <v>1409.6000000000001</v>
      </c>
      <c r="J46" s="14">
        <f>(3723-H46)/100*80</f>
        <v>1568.8</v>
      </c>
      <c r="K46" s="19"/>
      <c r="L46" s="19"/>
      <c r="M46" s="19"/>
      <c r="N46" s="19"/>
      <c r="O46" s="19"/>
      <c r="P46" s="19"/>
      <c r="Q46" s="19"/>
      <c r="R46" s="17"/>
      <c r="S46" s="19"/>
      <c r="T46" s="19"/>
      <c r="U46" s="19"/>
      <c r="V46" s="19"/>
      <c r="W46" s="19"/>
      <c r="X46" s="17">
        <f>I46*0.63</f>
        <v>888.04800000000012</v>
      </c>
      <c r="Y46" s="17">
        <f t="shared" si="8"/>
        <v>1409.6000000000001</v>
      </c>
      <c r="Z46" s="19"/>
      <c r="AA46" s="14">
        <f t="shared" si="0"/>
        <v>2978.4</v>
      </c>
      <c r="AB46" s="14">
        <f t="shared" si="4"/>
        <v>38038.448000000004</v>
      </c>
      <c r="AC46" s="22"/>
    </row>
    <row r="47" spans="1:33">
      <c r="A47" s="11"/>
      <c r="B47" s="76" t="s">
        <v>43</v>
      </c>
      <c r="C47" s="77"/>
      <c r="D47" s="77"/>
      <c r="E47" s="77"/>
      <c r="F47" s="78"/>
      <c r="G47" s="18">
        <f>SUM(G15:G46)</f>
        <v>31.950000000000003</v>
      </c>
      <c r="H47" s="20">
        <f>SUM(H15:H46)</f>
        <v>81679</v>
      </c>
      <c r="I47" s="20">
        <f>SUM(I15:I46)</f>
        <v>85776.85</v>
      </c>
      <c r="J47" s="20">
        <f>SUM(J15:J46)</f>
        <v>37237.15</v>
      </c>
      <c r="K47" s="20">
        <v>0</v>
      </c>
      <c r="L47" s="20">
        <v>0</v>
      </c>
      <c r="M47" s="20">
        <v>0</v>
      </c>
      <c r="N47" s="20">
        <f t="shared" ref="N47:U47" si="9">SUM(N15:N46)</f>
        <v>7694.0899999999992</v>
      </c>
      <c r="O47" s="20">
        <f t="shared" si="9"/>
        <v>722.5</v>
      </c>
      <c r="P47" s="20">
        <f t="shared" si="9"/>
        <v>519.75</v>
      </c>
      <c r="Q47" s="20">
        <f t="shared" si="9"/>
        <v>264.3</v>
      </c>
      <c r="R47" s="20">
        <f>SUM(R15:R46)</f>
        <v>835.5</v>
      </c>
      <c r="S47" s="20">
        <f t="shared" si="9"/>
        <v>144.5</v>
      </c>
      <c r="T47" s="20">
        <f t="shared" si="9"/>
        <v>3179.88</v>
      </c>
      <c r="U47" s="20">
        <f t="shared" si="9"/>
        <v>13058.385</v>
      </c>
      <c r="V47" s="20">
        <f>SUM(V15:V46)</f>
        <v>7920.8</v>
      </c>
      <c r="W47" s="20">
        <f>5058.15+2562.1</f>
        <v>7620.25</v>
      </c>
      <c r="X47" s="20">
        <f>SUM(X15:X46)</f>
        <v>94409.689999999988</v>
      </c>
      <c r="Y47" s="20">
        <f>SUM(Y15:Y46)</f>
        <v>85776.85</v>
      </c>
      <c r="Z47" s="20">
        <f>SUM(Z15:Z46)</f>
        <v>35669.199999999997</v>
      </c>
      <c r="AA47" s="15">
        <f>SUM(AA15:AA46)</f>
        <v>157353.70500000002</v>
      </c>
      <c r="AB47" s="15">
        <f>AA47*12+(Y47+Z47+X47)-0.01</f>
        <v>2104100.1900000004</v>
      </c>
      <c r="AC47" s="22"/>
    </row>
    <row r="48" spans="1:33">
      <c r="A48" s="11">
        <v>31</v>
      </c>
      <c r="B48" s="73" t="s">
        <v>52</v>
      </c>
      <c r="C48" s="74"/>
      <c r="D48" s="74"/>
      <c r="E48" s="74"/>
      <c r="F48" s="75"/>
      <c r="G48" s="16">
        <v>19.277999999999999</v>
      </c>
      <c r="H48" s="17">
        <f>4112.59+411</f>
        <v>4523.59</v>
      </c>
      <c r="I48" s="17">
        <f>93810.76+R48</f>
        <v>96796.329399999988</v>
      </c>
      <c r="J48" s="17">
        <v>0</v>
      </c>
      <c r="K48" s="17">
        <f>6217.88+622</f>
        <v>6839.88</v>
      </c>
      <c r="L48" s="17">
        <f>8987+898</f>
        <v>9885</v>
      </c>
      <c r="M48" s="17">
        <f>(H48*5)/100*15</f>
        <v>3392.6925000000001</v>
      </c>
      <c r="N48" s="17">
        <f>I48/100*20</f>
        <v>19359.265879999999</v>
      </c>
      <c r="O48" s="17">
        <v>0</v>
      </c>
      <c r="P48" s="17">
        <v>0</v>
      </c>
      <c r="Q48" s="17">
        <v>0</v>
      </c>
      <c r="R48" s="17">
        <f>(H48*6)/100*11</f>
        <v>2985.5694000000003</v>
      </c>
      <c r="S48" s="17">
        <v>0</v>
      </c>
      <c r="T48" s="17">
        <v>0</v>
      </c>
      <c r="U48" s="17">
        <f>(I48)/100*30</f>
        <v>29038.898819999999</v>
      </c>
      <c r="V48" s="17">
        <v>0</v>
      </c>
      <c r="W48" s="17">
        <v>2060.14</v>
      </c>
      <c r="X48" s="17">
        <f>503969.34-306363.71+164.16-12.96</f>
        <v>197756.83000000002</v>
      </c>
      <c r="Y48" s="17">
        <f>I48</f>
        <v>96796.329399999988</v>
      </c>
      <c r="Z48" s="17">
        <f>I48</f>
        <v>96796.329399999988</v>
      </c>
      <c r="AA48" s="14">
        <f>SUM(I48:W48)</f>
        <v>170357.77600000001</v>
      </c>
      <c r="AB48" s="14">
        <f>AA48*12+(Y48+Z48+X48)</f>
        <v>2435642.8008000003</v>
      </c>
    </row>
    <row r="49" spans="1:29">
      <c r="A49" s="11"/>
      <c r="B49" s="76" t="s">
        <v>43</v>
      </c>
      <c r="C49" s="77"/>
      <c r="D49" s="77"/>
      <c r="E49" s="77"/>
      <c r="F49" s="78"/>
      <c r="G49" s="18">
        <f t="shared" ref="G49:U49" si="10">SUM(G47:G48)</f>
        <v>51.228000000000002</v>
      </c>
      <c r="H49" s="20">
        <f t="shared" si="10"/>
        <v>86202.59</v>
      </c>
      <c r="I49" s="17">
        <f>I47+I48</f>
        <v>182573.17939999999</v>
      </c>
      <c r="J49" s="20">
        <f>SUM(J47:J48)</f>
        <v>37237.15</v>
      </c>
      <c r="K49" s="20">
        <f t="shared" si="10"/>
        <v>6839.88</v>
      </c>
      <c r="L49" s="20">
        <f t="shared" si="10"/>
        <v>9885</v>
      </c>
      <c r="M49" s="20">
        <f t="shared" si="10"/>
        <v>3392.6925000000001</v>
      </c>
      <c r="N49" s="20">
        <f t="shared" si="10"/>
        <v>27053.355879999999</v>
      </c>
      <c r="O49" s="20">
        <f t="shared" si="10"/>
        <v>722.5</v>
      </c>
      <c r="P49" s="20">
        <f t="shared" si="10"/>
        <v>519.75</v>
      </c>
      <c r="Q49" s="20">
        <f t="shared" si="10"/>
        <v>264.3</v>
      </c>
      <c r="R49" s="20">
        <f>SUM(R48)</f>
        <v>2985.5694000000003</v>
      </c>
      <c r="S49" s="20">
        <f t="shared" si="10"/>
        <v>144.5</v>
      </c>
      <c r="T49" s="20">
        <f t="shared" si="10"/>
        <v>3179.88</v>
      </c>
      <c r="U49" s="20">
        <f t="shared" si="10"/>
        <v>42097.283819999997</v>
      </c>
      <c r="V49" s="20">
        <f>V47+V48</f>
        <v>7920.8</v>
      </c>
      <c r="W49" s="20">
        <f>SUM(W47:W48)</f>
        <v>9680.39</v>
      </c>
      <c r="X49" s="20">
        <f>SUM(X47:X48)</f>
        <v>292166.52</v>
      </c>
      <c r="Y49" s="20">
        <f>Y47+Y48</f>
        <v>182573.17939999999</v>
      </c>
      <c r="Z49" s="20">
        <f>Z47+Z48</f>
        <v>132465.5294</v>
      </c>
      <c r="AA49" s="15">
        <f>AA47+AA48</f>
        <v>327711.48100000003</v>
      </c>
      <c r="AB49" s="14">
        <f>AA49*12+(Y49+Z49+X49)-0.01</f>
        <v>4539742.9908000007</v>
      </c>
    </row>
    <row r="50" spans="1:29" ht="39.75" customHeight="1"/>
    <row r="51" spans="1:29" ht="15.75">
      <c r="F51" s="24" t="s">
        <v>59</v>
      </c>
      <c r="K51" t="s">
        <v>60</v>
      </c>
      <c r="M51" s="25" t="s">
        <v>64</v>
      </c>
      <c r="X51" s="22"/>
      <c r="Y51" s="22"/>
      <c r="Z51" s="22"/>
      <c r="AA51" s="22"/>
      <c r="AB51" s="22"/>
    </row>
    <row r="52" spans="1:29">
      <c r="K52" s="26" t="s">
        <v>61</v>
      </c>
      <c r="U52" s="22"/>
      <c r="Y52" s="22"/>
      <c r="AA52" s="22"/>
      <c r="AB52" s="22"/>
    </row>
    <row r="53" spans="1:29">
      <c r="Y53" s="22"/>
      <c r="AA53" s="22"/>
    </row>
    <row r="54" spans="1:29" ht="15.75">
      <c r="F54" s="24" t="s">
        <v>62</v>
      </c>
      <c r="K54" t="s">
        <v>60</v>
      </c>
      <c r="M54" s="25" t="s">
        <v>63</v>
      </c>
    </row>
    <row r="55" spans="1:29">
      <c r="K55" s="26" t="s">
        <v>61</v>
      </c>
    </row>
    <row r="57" spans="1:29">
      <c r="G57" s="22"/>
      <c r="V57" s="27" t="s">
        <v>66</v>
      </c>
      <c r="W57" s="27"/>
      <c r="X57" s="27"/>
      <c r="Y57" s="27"/>
      <c r="Z57" s="27" t="s">
        <v>67</v>
      </c>
      <c r="AA57" s="27" t="s">
        <v>68</v>
      </c>
      <c r="AB57" s="27" t="s">
        <v>69</v>
      </c>
    </row>
    <row r="58" spans="1:29">
      <c r="I58" s="22"/>
      <c r="V58" s="22">
        <f>AB15+AB17+AB18+AB48</f>
        <v>2816254.0008000005</v>
      </c>
      <c r="W58" s="22"/>
      <c r="X58" s="22"/>
      <c r="Z58" s="22">
        <f>AB19+AB20+AB21+AB22+AB23+AB24+AB25+AB26+AB27+AB28</f>
        <v>733915.00400000007</v>
      </c>
      <c r="AA58" s="22">
        <f>AB30+AB31+AB32+AB33+AB34+AB35+AB36+AB37+AB38+AB39+AB40+AB41+AB42+AB43+AB44+AB45+AB46</f>
        <v>989573.99600000004</v>
      </c>
      <c r="AB58" s="22">
        <f>V58+Z58+AA58</f>
        <v>4539743.0008000005</v>
      </c>
    </row>
    <row r="60" spans="1:29">
      <c r="V60" s="22">
        <f>V58+[1]Лист1!$V$66+[1]Лист1!$V$67+[2]Лист1!$W$58</f>
        <v>9969672.0001999997</v>
      </c>
      <c r="W60" s="22"/>
      <c r="X60" s="22"/>
      <c r="Z60" s="22">
        <f>Z58+[1]Лист1!$Z$66+[1]Лист1!$Z$67+[2]Лист1!$AA$58-0.01</f>
        <v>2209089.0004210528</v>
      </c>
      <c r="AA60" s="22">
        <f>[2]Лист1!$AB$58+[1]Лист1!$AB$66+AA58+F70</f>
        <v>3398439.0012500007</v>
      </c>
      <c r="AB60" s="22">
        <f>AB58+[1]Лист1!$AD$66+[1]Лист1!$AD$67+[2]Лист1!$AC$58</f>
        <v>15577200.011871055</v>
      </c>
      <c r="AC60" s="22">
        <f>V60+Z60+AA60</f>
        <v>15577200.001871053</v>
      </c>
    </row>
    <row r="64" spans="1:29" ht="18.75">
      <c r="B64" s="28" t="s">
        <v>71</v>
      </c>
      <c r="D64" s="27" t="s">
        <v>66</v>
      </c>
      <c r="E64" s="27" t="s">
        <v>67</v>
      </c>
      <c r="F64" s="27" t="s">
        <v>68</v>
      </c>
      <c r="Z64" s="22"/>
    </row>
    <row r="65" spans="2:25">
      <c r="B65" t="s">
        <v>72</v>
      </c>
      <c r="D65" s="27">
        <v>2060.14</v>
      </c>
      <c r="E65" s="27">
        <v>5058.1499999999996</v>
      </c>
      <c r="F65" s="27">
        <v>2562.1</v>
      </c>
      <c r="V65" s="22"/>
      <c r="Y65" s="22"/>
    </row>
    <row r="66" spans="2:25">
      <c r="D66" s="27"/>
      <c r="E66" s="27"/>
      <c r="F66" s="27"/>
    </row>
    <row r="67" spans="2:25">
      <c r="D67" s="27"/>
      <c r="E67" s="27"/>
      <c r="F67" s="27"/>
    </row>
    <row r="74" spans="2:25" ht="18.75">
      <c r="B74" s="28" t="s">
        <v>73</v>
      </c>
    </row>
    <row r="75" spans="2:25">
      <c r="B75" t="s">
        <v>72</v>
      </c>
      <c r="D75">
        <v>47863.71</v>
      </c>
    </row>
  </sheetData>
  <mergeCells count="65">
    <mergeCell ref="B49:F49"/>
    <mergeCell ref="B43:F43"/>
    <mergeCell ref="B44:F44"/>
    <mergeCell ref="B45:F45"/>
    <mergeCell ref="B46:F46"/>
    <mergeCell ref="B48:F48"/>
    <mergeCell ref="B47:F47"/>
    <mergeCell ref="B38:F38"/>
    <mergeCell ref="B39:F39"/>
    <mergeCell ref="B40:F40"/>
    <mergeCell ref="B41:F41"/>
    <mergeCell ref="B42:F42"/>
    <mergeCell ref="B33:F33"/>
    <mergeCell ref="B34:F34"/>
    <mergeCell ref="B35:F35"/>
    <mergeCell ref="B36:F36"/>
    <mergeCell ref="B37:F37"/>
    <mergeCell ref="P3:AA3"/>
    <mergeCell ref="P7:AA7"/>
    <mergeCell ref="P6:T6"/>
    <mergeCell ref="A7:G7"/>
    <mergeCell ref="A4:G4"/>
    <mergeCell ref="A12:A14"/>
    <mergeCell ref="B12:F14"/>
    <mergeCell ref="G12:G14"/>
    <mergeCell ref="H12:H14"/>
    <mergeCell ref="K13:K14"/>
    <mergeCell ref="J13:J14"/>
    <mergeCell ref="AB12:AB14"/>
    <mergeCell ref="B15:F15"/>
    <mergeCell ref="M13:M14"/>
    <mergeCell ref="N13:N14"/>
    <mergeCell ref="O13:O14"/>
    <mergeCell ref="P13:P14"/>
    <mergeCell ref="Q13:Q14"/>
    <mergeCell ref="S13:S14"/>
    <mergeCell ref="L13:L14"/>
    <mergeCell ref="B22:F22"/>
    <mergeCell ref="T13:T14"/>
    <mergeCell ref="U13:U14"/>
    <mergeCell ref="AA12:AA14"/>
    <mergeCell ref="I12:I14"/>
    <mergeCell ref="Y12:Y14"/>
    <mergeCell ref="Z12:Z14"/>
    <mergeCell ref="J12:V12"/>
    <mergeCell ref="V13:V14"/>
    <mergeCell ref="R13:R14"/>
    <mergeCell ref="W12:W14"/>
    <mergeCell ref="X12:X14"/>
    <mergeCell ref="B30:F30"/>
    <mergeCell ref="B31:F31"/>
    <mergeCell ref="B32:F32"/>
    <mergeCell ref="B16:F16"/>
    <mergeCell ref="B29:F29"/>
    <mergeCell ref="B23:F23"/>
    <mergeCell ref="B24:F24"/>
    <mergeCell ref="B25:F25"/>
    <mergeCell ref="B26:F26"/>
    <mergeCell ref="B27:F27"/>
    <mergeCell ref="B28:F28"/>
    <mergeCell ref="B17:F17"/>
    <mergeCell ref="B18:F18"/>
    <mergeCell ref="B19:F19"/>
    <mergeCell ref="B20:F20"/>
    <mergeCell ref="B21:F21"/>
  </mergeCells>
  <pageMargins left="0.7" right="0.7" top="0.75" bottom="0.75" header="0.3" footer="0.3"/>
  <pageSetup paperSize="9" scale="43" orientation="landscape" verticalDpi="0" r:id="rId1"/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S26" sqref="S2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2018-01-30T11:43:01Z</cp:lastPrinted>
  <dcterms:created xsi:type="dcterms:W3CDTF">2015-12-29T09:23:25Z</dcterms:created>
  <dcterms:modified xsi:type="dcterms:W3CDTF">2018-02-09T12:40:24Z</dcterms:modified>
</cp:coreProperties>
</file>